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101"/>
  <workbookPr date1904="1" showInkAnnotation="0"/>
  <mc:AlternateContent xmlns:mc="http://schemas.openxmlformats.org/markup-compatibility/2006">
    <mc:Choice Requires="x15">
      <x15ac:absPath xmlns:x15ac="http://schemas.microsoft.com/office/spreadsheetml/2010/11/ac" url="/Users/bobcrean/Desktop/"/>
    </mc:Choice>
  </mc:AlternateContent>
  <bookViews>
    <workbookView xWindow="-20" yWindow="540" windowWidth="33140" windowHeight="20460" tabRatio="500"/>
  </bookViews>
  <sheets>
    <sheet name="Elev Calculations Analysis-3" sheetId="1" r:id="rId1"/>
  </sheets>
  <definedNames>
    <definedName name="cr">cr_mac</definedName>
    <definedName name="cr_dos">CHAR(10)</definedName>
    <definedName name="cr_mac">CHAR(13)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1" i="1" l="1"/>
  <c r="Q11" i="1"/>
  <c r="R11" i="1"/>
  <c r="S11" i="1"/>
  <c r="P12" i="1"/>
  <c r="Q12" i="1"/>
  <c r="R12" i="1"/>
  <c r="S12" i="1"/>
  <c r="T11" i="1"/>
  <c r="W11" i="1"/>
  <c r="X11" i="1"/>
  <c r="Y11" i="1"/>
  <c r="Z11" i="1"/>
  <c r="H11" i="1"/>
  <c r="T12" i="1"/>
  <c r="U12" i="1"/>
  <c r="K11" i="1"/>
  <c r="L11" i="1"/>
  <c r="M11" i="1"/>
  <c r="U11" i="1"/>
  <c r="N11" i="1"/>
  <c r="W12" i="1"/>
  <c r="X12" i="1"/>
  <c r="Y12" i="1"/>
  <c r="Z12" i="1"/>
  <c r="H12" i="1"/>
  <c r="E28" i="1"/>
  <c r="F28" i="1"/>
  <c r="P28" i="1"/>
  <c r="Q28" i="1"/>
  <c r="R28" i="1"/>
  <c r="S28" i="1"/>
  <c r="P29" i="1"/>
  <c r="Q29" i="1"/>
  <c r="R29" i="1"/>
  <c r="S29" i="1"/>
  <c r="T29" i="1"/>
  <c r="U29" i="1"/>
  <c r="K28" i="1"/>
  <c r="L28" i="1"/>
  <c r="M28" i="1"/>
  <c r="E21" i="1"/>
  <c r="P21" i="1"/>
  <c r="Q21" i="1"/>
  <c r="R21" i="1"/>
  <c r="S21" i="1"/>
  <c r="P22" i="1"/>
  <c r="Q22" i="1"/>
  <c r="R22" i="1"/>
  <c r="S22" i="1"/>
  <c r="T22" i="1"/>
  <c r="U22" i="1"/>
  <c r="K21" i="1"/>
  <c r="L21" i="1"/>
  <c r="M21" i="1"/>
  <c r="E18" i="1"/>
  <c r="F18" i="1"/>
  <c r="P18" i="1"/>
  <c r="Q18" i="1"/>
  <c r="R18" i="1"/>
  <c r="S18" i="1"/>
  <c r="P19" i="1"/>
  <c r="Q19" i="1"/>
  <c r="R19" i="1"/>
  <c r="S19" i="1"/>
  <c r="T19" i="1"/>
  <c r="U19" i="1"/>
  <c r="K18" i="1"/>
  <c r="L18" i="1"/>
  <c r="M18" i="1"/>
  <c r="E25" i="1"/>
  <c r="F25" i="1"/>
  <c r="P25" i="1"/>
  <c r="Q25" i="1"/>
  <c r="R25" i="1"/>
  <c r="S25" i="1"/>
  <c r="P26" i="1"/>
  <c r="Q26" i="1"/>
  <c r="R26" i="1"/>
  <c r="S26" i="1"/>
  <c r="T26" i="1"/>
  <c r="U26" i="1"/>
  <c r="K25" i="1"/>
  <c r="L25" i="1"/>
  <c r="M25" i="1"/>
  <c r="E14" i="1"/>
  <c r="P14" i="1"/>
  <c r="Q14" i="1"/>
  <c r="R14" i="1"/>
  <c r="S14" i="1"/>
  <c r="P15" i="1"/>
  <c r="Q15" i="1"/>
  <c r="R15" i="1"/>
  <c r="S15" i="1"/>
  <c r="T14" i="1"/>
  <c r="W14" i="1"/>
  <c r="X14" i="1"/>
  <c r="Y14" i="1"/>
  <c r="Z14" i="1"/>
  <c r="H14" i="1"/>
  <c r="T15" i="1"/>
  <c r="U15" i="1"/>
  <c r="K14" i="1"/>
  <c r="L14" i="1"/>
  <c r="M14" i="1"/>
  <c r="U14" i="1"/>
  <c r="N14" i="1"/>
  <c r="W15" i="1"/>
  <c r="X15" i="1"/>
  <c r="Y15" i="1"/>
  <c r="Z15" i="1"/>
  <c r="H15" i="1"/>
  <c r="L16" i="1"/>
  <c r="T18" i="1"/>
  <c r="W18" i="1"/>
  <c r="X18" i="1"/>
  <c r="Y18" i="1"/>
  <c r="Z18" i="1"/>
  <c r="H18" i="1"/>
  <c r="U18" i="1"/>
  <c r="N18" i="1"/>
  <c r="W19" i="1"/>
  <c r="X19" i="1"/>
  <c r="Y19" i="1"/>
  <c r="Z19" i="1"/>
  <c r="H19" i="1"/>
  <c r="T21" i="1"/>
  <c r="W21" i="1"/>
  <c r="X21" i="1"/>
  <c r="Y21" i="1"/>
  <c r="Z21" i="1"/>
  <c r="H21" i="1"/>
  <c r="U21" i="1"/>
  <c r="N21" i="1"/>
  <c r="W22" i="1"/>
  <c r="X22" i="1"/>
  <c r="Y22" i="1"/>
  <c r="Z22" i="1"/>
  <c r="H22" i="1"/>
  <c r="L23" i="1"/>
  <c r="T25" i="1"/>
  <c r="W25" i="1"/>
  <c r="X25" i="1"/>
  <c r="Y25" i="1"/>
  <c r="Z25" i="1"/>
  <c r="H25" i="1"/>
  <c r="U25" i="1"/>
  <c r="N25" i="1"/>
  <c r="W26" i="1"/>
  <c r="X26" i="1"/>
  <c r="Y26" i="1"/>
  <c r="Z26" i="1"/>
  <c r="H26" i="1"/>
  <c r="T28" i="1"/>
  <c r="W28" i="1"/>
  <c r="X28" i="1"/>
  <c r="Y28" i="1"/>
  <c r="Z28" i="1"/>
  <c r="H28" i="1"/>
  <c r="U28" i="1"/>
  <c r="N28" i="1"/>
  <c r="W29" i="1"/>
  <c r="X29" i="1"/>
  <c r="Y29" i="1"/>
  <c r="Z29" i="1"/>
  <c r="H29" i="1"/>
  <c r="L30" i="1"/>
  <c r="C32" i="1"/>
  <c r="D32" i="1"/>
  <c r="F32" i="1"/>
  <c r="D33" i="1"/>
  <c r="F33" i="1"/>
  <c r="F34" i="1"/>
</calcChain>
</file>

<file path=xl/sharedStrings.xml><?xml version="1.0" encoding="utf-8"?>
<sst xmlns="http://schemas.openxmlformats.org/spreadsheetml/2006/main" count="63" uniqueCount="52">
  <si>
    <t>Surveryor Connect</t>
  </si>
  <si>
    <t>ML Schumann</t>
  </si>
  <si>
    <t>RFC - Grasshopper: Back to Basics</t>
  </si>
  <si>
    <t>Aug 30 2015</t>
  </si>
  <si>
    <t>NOTE: for differing versions of Excel and for</t>
  </si>
  <si>
    <t>Observation Analysis</t>
  </si>
  <si>
    <t>versions on the Mac, there may be different</t>
  </si>
  <si>
    <t>Calculations</t>
  </si>
  <si>
    <t>symbols used for the quote and degree marks</t>
  </si>
  <si>
    <t>Split</t>
  </si>
  <si>
    <t>Distance</t>
  </si>
  <si>
    <t>Instrument</t>
  </si>
  <si>
    <t>Zenith Angle</t>
  </si>
  <si>
    <t>Zsplit</t>
  </si>
  <si>
    <t>Target</t>
  </si>
  <si>
    <t>Uncertainty</t>
  </si>
  <si>
    <t>use char(34) for quote (")</t>
  </si>
  <si>
    <t>Point</t>
  </si>
  <si>
    <t>Elevation</t>
  </si>
  <si>
    <t>Height</t>
  </si>
  <si>
    <t>Direct</t>
  </si>
  <si>
    <t>Average</t>
  </si>
  <si>
    <t>to Target</t>
  </si>
  <si>
    <t>due to split</t>
  </si>
  <si>
    <t>use appropriate deg symbol</t>
  </si>
  <si>
    <t>Seq</t>
  </si>
  <si>
    <t>From</t>
  </si>
  <si>
    <t>To</t>
  </si>
  <si>
    <t>at "From"</t>
  </si>
  <si>
    <t>IH</t>
  </si>
  <si>
    <t>Reverse</t>
  </si>
  <si>
    <t>Zavg</t>
  </si>
  <si>
    <t>D</t>
  </si>
  <si>
    <t>TH</t>
  </si>
  <si>
    <t>D*cos(Zavg)</t>
  </si>
  <si>
    <t>Elev Diff</t>
  </si>
  <si>
    <t>Elev at "Obs"</t>
  </si>
  <si>
    <t>D*sin(Zsplit)</t>
  </si>
  <si>
    <t>d</t>
  </si>
  <si>
    <t>mm</t>
  </si>
  <si>
    <t>ss</t>
  </si>
  <si>
    <t>radians</t>
  </si>
  <si>
    <t>m</t>
  </si>
  <si>
    <t>s</t>
  </si>
  <si>
    <t>°</t>
  </si>
  <si>
    <t>-</t>
  </si>
  <si>
    <t>Elev</t>
  </si>
  <si>
    <t>begin</t>
  </si>
  <si>
    <t>end</t>
  </si>
  <si>
    <t>diff</t>
  </si>
  <si>
    <t>Observation data transcribed from Carlson "RW5" file - post No 75</t>
  </si>
  <si>
    <t>Please post any errors found in this spread sheet to Surveyor Connect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</si>
</sst>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5" formatCode="00\¡.00\'00\&quot;"/>
    <numFmt numFmtId="167" formatCode="###\ ###\ ##0.000;\-###\ ###\ ##0.000;0.000;@&quot;  &quot;"/>
    <numFmt numFmtId="168" formatCode="###\ ###\ ##0.00;\-###\ ###\ ##0.00;0.00;@&quot;  &quot;"/>
    <numFmt numFmtId="169" formatCode="0.000"/>
    <numFmt numFmtId="171" formatCode="&quot;diff = &quot;0.000;&quot;diff = &quot;\-0.000"/>
  </numFmts>
  <fonts count="6" x14ac:knownFonts="1">
    <font>
      <sz val="10"/>
      <name val="Helv"/>
    </font>
    <font>
      <b/>
      <sz val="10"/>
      <name val="Helv"/>
    </font>
    <font>
      <sz val="10"/>
      <color indexed="10"/>
      <name val="Helv"/>
    </font>
    <font>
      <sz val="10"/>
      <color indexed="17"/>
      <name val="Helv"/>
    </font>
    <font>
      <sz val="8"/>
      <name val="Helv"/>
    </font>
    <font>
      <sz val="10"/>
      <color rgb="FFFF0000"/>
      <name val="Helv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right"/>
    </xf>
    <xf numFmtId="167" fontId="0" fillId="0" borderId="0" xfId="0" applyNumberFormat="1"/>
    <xf numFmtId="0" fontId="0" fillId="0" borderId="0" xfId="0" applyAlignment="1">
      <alignment horizontal="center"/>
    </xf>
    <xf numFmtId="168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165" fontId="0" fillId="0" borderId="0" xfId="0" applyNumberFormat="1"/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right"/>
    </xf>
    <xf numFmtId="169" fontId="0" fillId="0" borderId="0" xfId="0" applyNumberFormat="1"/>
    <xf numFmtId="0" fontId="0" fillId="0" borderId="6" xfId="0" applyBorder="1" applyAlignment="1">
      <alignment horizontal="center"/>
    </xf>
    <xf numFmtId="0" fontId="0" fillId="0" borderId="0" xfId="0" applyAlignment="1">
      <alignment horizontal="fill"/>
    </xf>
    <xf numFmtId="165" fontId="0" fillId="0" borderId="0" xfId="0" applyNumberFormat="1" applyAlignment="1">
      <alignment horizontal="fill"/>
    </xf>
    <xf numFmtId="167" fontId="0" fillId="0" borderId="0" xfId="0" applyNumberFormat="1" applyAlignment="1">
      <alignment horizontal="fill"/>
    </xf>
    <xf numFmtId="169" fontId="0" fillId="0" borderId="0" xfId="0" applyNumberFormat="1" applyAlignment="1">
      <alignment horizontal="fill"/>
    </xf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0" fontId="1" fillId="0" borderId="0" xfId="0" applyFont="1"/>
    <xf numFmtId="0" fontId="0" fillId="0" borderId="3" xfId="0" applyBorder="1"/>
    <xf numFmtId="171" fontId="0" fillId="0" borderId="0" xfId="0" applyNumberFormat="1"/>
    <xf numFmtId="0" fontId="1" fillId="0" borderId="0" xfId="0" applyFont="1" applyAlignment="1">
      <alignment horizontal="center"/>
    </xf>
    <xf numFmtId="0" fontId="0" fillId="0" borderId="7" xfId="0" applyBorder="1"/>
    <xf numFmtId="0" fontId="0" fillId="0" borderId="8" xfId="0" applyBorder="1"/>
    <xf numFmtId="1" fontId="0" fillId="0" borderId="0" xfId="0" applyNumberFormat="1" applyAlignment="1">
      <alignment horizontal="right"/>
    </xf>
    <xf numFmtId="0" fontId="2" fillId="0" borderId="0" xfId="0" applyFont="1"/>
    <xf numFmtId="171" fontId="0" fillId="0" borderId="0" xfId="0" applyNumberFormat="1" applyAlignment="1"/>
    <xf numFmtId="2" fontId="0" fillId="0" borderId="0" xfId="0" applyNumberFormat="1"/>
    <xf numFmtId="0" fontId="3" fillId="0" borderId="0" xfId="0" applyFont="1" applyAlignment="1">
      <alignment horizontal="center"/>
    </xf>
    <xf numFmtId="167" fontId="3" fillId="0" borderId="0" xfId="0" applyNumberFormat="1" applyFont="1"/>
    <xf numFmtId="169" fontId="3" fillId="0" borderId="0" xfId="0" applyNumberFormat="1" applyFont="1"/>
    <xf numFmtId="165" fontId="3" fillId="0" borderId="0" xfId="0" applyNumberFormat="1" applyFont="1"/>
    <xf numFmtId="0" fontId="3" fillId="0" borderId="0" xfId="0" applyFont="1"/>
    <xf numFmtId="171" fontId="0" fillId="2" borderId="0" xfId="0" applyNumberFormat="1" applyFill="1"/>
    <xf numFmtId="169" fontId="5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59"/>
  <sheetViews>
    <sheetView tabSelected="1" view="pageLayout" zoomScale="107" zoomScaleNormal="125" zoomScalePageLayoutView="125" workbookViewId="0">
      <selection activeCell="J19" sqref="J19"/>
    </sheetView>
  </sheetViews>
  <sheetFormatPr baseColWidth="10" defaultRowHeight="13" x14ac:dyDescent="0.15"/>
  <cols>
    <col min="2" max="2" width="4.6640625" customWidth="1"/>
    <col min="3" max="4" width="7.6640625" customWidth="1"/>
    <col min="5" max="5" width="12.1640625" customWidth="1"/>
    <col min="6" max="6" width="11.33203125" customWidth="1"/>
    <col min="7" max="7" width="11.83203125" customWidth="1"/>
    <col min="10" max="10" width="11.1640625" customWidth="1"/>
    <col min="11" max="11" width="13.33203125" customWidth="1"/>
    <col min="12" max="12" width="11.83203125" customWidth="1"/>
    <col min="13" max="13" width="13.83203125" customWidth="1"/>
    <col min="14" max="14" width="12.6640625" customWidth="1"/>
    <col min="16" max="16" width="4.6640625" customWidth="1"/>
    <col min="17" max="18" width="3.33203125" customWidth="1"/>
    <col min="22" max="22" width="2.83203125" customWidth="1"/>
    <col min="23" max="23" width="4.1640625" customWidth="1"/>
    <col min="24" max="25" width="4.6640625" customWidth="1"/>
  </cols>
  <sheetData>
    <row r="3" spans="2:26" x14ac:dyDescent="0.15">
      <c r="B3" s="25" t="s">
        <v>0</v>
      </c>
      <c r="N3" s="1" t="s">
        <v>1</v>
      </c>
    </row>
    <row r="4" spans="2:26" x14ac:dyDescent="0.15">
      <c r="B4" s="25" t="s">
        <v>2</v>
      </c>
      <c r="N4" s="1" t="s">
        <v>3</v>
      </c>
      <c r="Z4" t="s">
        <v>4</v>
      </c>
    </row>
    <row r="5" spans="2:26" x14ac:dyDescent="0.15">
      <c r="I5" s="28" t="s">
        <v>5</v>
      </c>
      <c r="Z5" t="s">
        <v>6</v>
      </c>
    </row>
    <row r="6" spans="2:26" x14ac:dyDescent="0.15">
      <c r="B6" s="4"/>
      <c r="P6" t="s">
        <v>7</v>
      </c>
      <c r="Z6" t="s">
        <v>8</v>
      </c>
    </row>
    <row r="7" spans="2:26" x14ac:dyDescent="0.15">
      <c r="B7" s="5"/>
      <c r="C7" s="5"/>
      <c r="D7" s="29"/>
      <c r="E7" s="5"/>
      <c r="F7" s="5"/>
      <c r="G7" s="10"/>
      <c r="H7" s="5" t="s">
        <v>9</v>
      </c>
      <c r="I7" s="10" t="s">
        <v>10</v>
      </c>
      <c r="J7" s="5"/>
      <c r="K7" s="5"/>
      <c r="L7" s="5"/>
      <c r="M7" s="5"/>
      <c r="N7" s="11"/>
    </row>
    <row r="8" spans="2:26" x14ac:dyDescent="0.15">
      <c r="B8" s="6"/>
      <c r="C8" s="6"/>
      <c r="D8" s="7"/>
      <c r="E8" s="6"/>
      <c r="F8" s="9" t="s">
        <v>11</v>
      </c>
      <c r="G8" s="6" t="s">
        <v>12</v>
      </c>
      <c r="H8" s="9" t="s">
        <v>13</v>
      </c>
      <c r="I8" s="9" t="s">
        <v>11</v>
      </c>
      <c r="J8" s="9" t="s">
        <v>14</v>
      </c>
      <c r="K8" s="6"/>
      <c r="L8" s="6"/>
      <c r="M8" s="6"/>
      <c r="N8" s="17" t="s">
        <v>15</v>
      </c>
      <c r="S8" t="s">
        <v>12</v>
      </c>
      <c r="Z8" t="s">
        <v>16</v>
      </c>
    </row>
    <row r="9" spans="2:26" x14ac:dyDescent="0.15">
      <c r="B9" s="6"/>
      <c r="C9" s="26" t="s">
        <v>17</v>
      </c>
      <c r="D9" s="30"/>
      <c r="E9" s="9" t="s">
        <v>18</v>
      </c>
      <c r="F9" s="9" t="s">
        <v>19</v>
      </c>
      <c r="G9" s="9" t="s">
        <v>20</v>
      </c>
      <c r="H9" s="14" t="s">
        <v>21</v>
      </c>
      <c r="I9" s="9" t="s">
        <v>22</v>
      </c>
      <c r="J9" s="9" t="s">
        <v>19</v>
      </c>
      <c r="K9" s="6"/>
      <c r="L9" s="6"/>
      <c r="M9" s="6"/>
      <c r="N9" s="17" t="s">
        <v>23</v>
      </c>
      <c r="S9" t="s">
        <v>20</v>
      </c>
      <c r="T9" t="s">
        <v>9</v>
      </c>
      <c r="Z9" t="s">
        <v>24</v>
      </c>
    </row>
    <row r="10" spans="2:26" x14ac:dyDescent="0.15">
      <c r="B10" s="26" t="s">
        <v>25</v>
      </c>
      <c r="C10" s="8" t="s">
        <v>26</v>
      </c>
      <c r="D10" s="8" t="s">
        <v>27</v>
      </c>
      <c r="E10" s="8" t="s">
        <v>28</v>
      </c>
      <c r="F10" s="8" t="s">
        <v>29</v>
      </c>
      <c r="G10" s="8" t="s">
        <v>30</v>
      </c>
      <c r="H10" s="8" t="s">
        <v>31</v>
      </c>
      <c r="I10" s="8" t="s">
        <v>32</v>
      </c>
      <c r="J10" s="8" t="s">
        <v>33</v>
      </c>
      <c r="K10" s="8" t="s">
        <v>34</v>
      </c>
      <c r="L10" s="8" t="s">
        <v>35</v>
      </c>
      <c r="M10" s="8" t="s">
        <v>36</v>
      </c>
      <c r="N10" s="12" t="s">
        <v>37</v>
      </c>
      <c r="P10" s="1" t="s">
        <v>38</v>
      </c>
      <c r="Q10" s="1" t="s">
        <v>39</v>
      </c>
      <c r="R10" s="1" t="s">
        <v>40</v>
      </c>
      <c r="S10" t="s">
        <v>30</v>
      </c>
      <c r="T10" t="s">
        <v>21</v>
      </c>
      <c r="U10" s="1" t="s">
        <v>41</v>
      </c>
      <c r="W10" s="1" t="s">
        <v>38</v>
      </c>
      <c r="X10" s="1" t="s">
        <v>42</v>
      </c>
      <c r="Y10" s="1" t="s">
        <v>43</v>
      </c>
      <c r="Z10" s="3" t="s">
        <v>44</v>
      </c>
    </row>
    <row r="11" spans="2:26" x14ac:dyDescent="0.15">
      <c r="B11" s="35">
        <v>1</v>
      </c>
      <c r="C11" s="35">
        <v>100</v>
      </c>
      <c r="D11" s="35">
        <v>500</v>
      </c>
      <c r="E11" s="36">
        <v>1002.88</v>
      </c>
      <c r="F11" s="37">
        <v>5.12</v>
      </c>
      <c r="G11" s="38">
        <v>83.070400000000006</v>
      </c>
      <c r="H11" s="1" t="str">
        <f>Z11</f>
        <v>00°00'34"</v>
      </c>
      <c r="I11" s="36">
        <v>275.09899999999999</v>
      </c>
      <c r="J11" s="37">
        <v>5.23</v>
      </c>
      <c r="K11" s="2">
        <f>COS(U12)*(I11+I12)/2</f>
        <v>32.987172735878069</v>
      </c>
      <c r="L11" s="2">
        <f>F11+K11-J11</f>
        <v>32.877172735878062</v>
      </c>
      <c r="M11" s="2">
        <f>E11+L11</f>
        <v>1035.7571727358782</v>
      </c>
      <c r="N11" s="16">
        <f>SIN(U11)*(I11+I12)/2</f>
        <v>4.5346232970021647E-2</v>
      </c>
      <c r="P11" s="31">
        <f>ABS(TRUNC(G11))</f>
        <v>83</v>
      </c>
      <c r="Q11" s="1" t="str">
        <f>MID(G11,FIND(".",G11,1)+1,2)</f>
        <v>07</v>
      </c>
      <c r="R11" s="1" t="str">
        <f>RIGHT(TEXT(G11,"0.0000"),2)</f>
        <v>04</v>
      </c>
      <c r="S11">
        <f>(1-2*(G11&lt;0))*(P11+Q11/60+R11/3600)</f>
        <v>83.117777777777775</v>
      </c>
      <c r="T11">
        <f>S11+S12-360</f>
        <v>9.4444444443979592E-3</v>
      </c>
      <c r="U11" s="15">
        <f>T11*PI()/180</f>
        <v>1.648366515764309E-4</v>
      </c>
      <c r="W11">
        <f>TRUNC(T11)</f>
        <v>0</v>
      </c>
      <c r="X11" s="1">
        <f>TRUNC(60*(ABS(T11)-TRUNC(ABS(T11))))</f>
        <v>0</v>
      </c>
      <c r="Y11" s="1">
        <f>MOD(ROUND(3600*(ABS(T11)-TRUNC(ABS(T11))),0),60)</f>
        <v>34</v>
      </c>
      <c r="Z11" s="1" t="str">
        <f>TEXT(W11,"00")&amp;$Z$10&amp;TEXT(X11,"00")&amp;"'"&amp;TEXT(Y11,"00")&amp;CHAR(34)</f>
        <v>00°00'34"</v>
      </c>
    </row>
    <row r="12" spans="2:26" x14ac:dyDescent="0.15">
      <c r="B12" s="3"/>
      <c r="G12" s="38">
        <v>276.529</v>
      </c>
      <c r="H12" s="1" t="str">
        <f>Z12</f>
        <v>83°06'47"</v>
      </c>
      <c r="I12" s="36">
        <v>275.09699999999998</v>
      </c>
      <c r="K12" s="2"/>
      <c r="M12" s="2"/>
      <c r="N12" s="16"/>
      <c r="P12" s="31">
        <f>ABS(TRUNC(G12))</f>
        <v>276</v>
      </c>
      <c r="Q12" s="1" t="str">
        <f>MID(G12,FIND(".",G12,1)+1,2)</f>
        <v>52</v>
      </c>
      <c r="R12" s="1" t="str">
        <f>RIGHT(TEXT(G12,"0.0000"),2)</f>
        <v>90</v>
      </c>
      <c r="S12">
        <f>(1-2*(G12&lt;0))*(P12+Q12/60+R12/3600)</f>
        <v>276.89166666666665</v>
      </c>
      <c r="T12">
        <f>(IF(S11&gt;180,360-S11,S11)+IF(S12&gt;180,360-S12,S12))/2</f>
        <v>83.113055555555562</v>
      </c>
      <c r="U12" s="15">
        <f>T12*PI()/180</f>
        <v>1.4505964708374093</v>
      </c>
      <c r="W12">
        <f>TRUNC(T12)</f>
        <v>83</v>
      </c>
      <c r="X12" s="1">
        <f>TRUNC(60*(ABS(T12)-TRUNC(ABS(T12))))</f>
        <v>6</v>
      </c>
      <c r="Y12" s="1">
        <f>MOD(ROUND(3600*(ABS(T12)-TRUNC(ABS(T12))),0),60)</f>
        <v>47</v>
      </c>
      <c r="Z12" s="1" t="str">
        <f>TEXT(W12,"00")&amp;$Z$10&amp;TEXT(X12,"00")&amp;"'"&amp;TEXT(Y12,"00")&amp;CHAR(34)</f>
        <v>83°06'47"</v>
      </c>
    </row>
    <row r="13" spans="2:26" x14ac:dyDescent="0.15">
      <c r="B13" s="3"/>
      <c r="G13" s="13"/>
      <c r="H13" s="1"/>
      <c r="I13" s="2"/>
      <c r="K13" s="2"/>
      <c r="M13" s="2"/>
      <c r="N13" s="16"/>
      <c r="Z13" s="1"/>
    </row>
    <row r="14" spans="2:26" x14ac:dyDescent="0.15">
      <c r="B14" s="35">
        <v>6</v>
      </c>
      <c r="C14" s="35">
        <v>500</v>
      </c>
      <c r="D14" s="35">
        <v>100</v>
      </c>
      <c r="E14" s="36">
        <f>M25</f>
        <v>1035.7316121806728</v>
      </c>
      <c r="F14" s="37">
        <v>5.2</v>
      </c>
      <c r="G14" s="38">
        <v>96.523099999999999</v>
      </c>
      <c r="H14" s="1" t="str">
        <f>Z14</f>
        <v>00°00'07"</v>
      </c>
      <c r="I14" s="36">
        <v>275.08800000000002</v>
      </c>
      <c r="J14" s="37">
        <v>5.12</v>
      </c>
      <c r="K14" s="2">
        <f>COS(U15)*(I14+I15)/2</f>
        <v>-32.925788787001487</v>
      </c>
      <c r="L14" s="2">
        <f>F14+K14-J14</f>
        <v>-32.845788787001489</v>
      </c>
      <c r="M14" s="2">
        <f>E14+L14</f>
        <v>1002.8858233936712</v>
      </c>
      <c r="N14" s="16">
        <f>SIN(U14)*(I14+I15)/2</f>
        <v>9.3356667804035155E-3</v>
      </c>
      <c r="P14" s="31">
        <f>ABS(TRUNC(G14))</f>
        <v>96</v>
      </c>
      <c r="Q14" s="1" t="str">
        <f>MID(G14,FIND(".",G14,1)+1,2)</f>
        <v>52</v>
      </c>
      <c r="R14" s="1" t="str">
        <f>RIGHT(TEXT(G14,"0.0000"),2)</f>
        <v>31</v>
      </c>
      <c r="S14">
        <f>(1-2*(G14&lt;0))*(P14+Q14/60+R14/3600)</f>
        <v>96.875277777777768</v>
      </c>
      <c r="T14">
        <f>S14+S15-360</f>
        <v>1.9444444444616238E-3</v>
      </c>
      <c r="U14" s="15">
        <f>T14*PI()/180</f>
        <v>3.3936957677967352E-5</v>
      </c>
      <c r="W14">
        <f>TRUNC(T14)</f>
        <v>0</v>
      </c>
      <c r="X14" s="1">
        <f>TRUNC(60*(ABS(T14)-TRUNC(ABS(T14))))</f>
        <v>0</v>
      </c>
      <c r="Y14" s="1">
        <f>MOD(ROUND(3600*(ABS(T14)-TRUNC(ABS(T14))),0),60)</f>
        <v>7</v>
      </c>
      <c r="Z14" s="1" t="str">
        <f>TEXT(W14,"00")&amp;$Z$10&amp;TEXT(X14,"00")&amp;"'"&amp;TEXT(Y14,"00")&amp;CHAR(34)</f>
        <v>00°00'07"</v>
      </c>
    </row>
    <row r="15" spans="2:26" x14ac:dyDescent="0.15">
      <c r="B15" s="3"/>
      <c r="G15" s="38">
        <v>263.0736</v>
      </c>
      <c r="H15" s="1" t="str">
        <f>Z15</f>
        <v>96°52'27"</v>
      </c>
      <c r="I15" s="36">
        <v>275.089</v>
      </c>
      <c r="K15" s="2"/>
      <c r="M15" s="2"/>
      <c r="N15" s="16"/>
      <c r="P15" s="31">
        <f>ABS(TRUNC(G15))</f>
        <v>263</v>
      </c>
      <c r="Q15" s="1" t="str">
        <f>MID(G15,FIND(".",G15,1)+1,2)</f>
        <v>07</v>
      </c>
      <c r="R15" s="1" t="str">
        <f>RIGHT(TEXT(G15,"0.0000"),2)</f>
        <v>36</v>
      </c>
      <c r="S15">
        <f>(1-2*(G15&lt;0))*(P15+Q15/60+R15/3600)</f>
        <v>263.12666666666667</v>
      </c>
      <c r="T15">
        <f>(IF(S14&gt;180,360-S14,S14)+IF(S15&gt;180,360-S15,S15))/2</f>
        <v>96.874305555555551</v>
      </c>
      <c r="U15" s="15">
        <f>T15*PI()/180</f>
        <v>1.6907755925274788</v>
      </c>
      <c r="W15">
        <f>TRUNC(T15)</f>
        <v>96</v>
      </c>
      <c r="X15" s="1">
        <f>TRUNC(60*(ABS(T15)-TRUNC(ABS(T15))))</f>
        <v>52</v>
      </c>
      <c r="Y15" s="1">
        <f>MOD(ROUND(3600*(ABS(T15)-TRUNC(ABS(T15))),0),60)</f>
        <v>27</v>
      </c>
      <c r="Z15" s="1" t="str">
        <f>TEXT(W15,"00")&amp;$Z$10&amp;TEXT(X15,"00")&amp;"'"&amp;TEXT(Y15,"00")&amp;CHAR(34)</f>
        <v>96°52'27"</v>
      </c>
    </row>
    <row r="16" spans="2:26" x14ac:dyDescent="0.15">
      <c r="B16" s="3"/>
      <c r="G16" s="13"/>
      <c r="H16" s="1"/>
      <c r="I16" s="2"/>
      <c r="K16" s="2"/>
      <c r="L16" s="27">
        <f>ABS(L14)-ABS(L11)</f>
        <v>-3.1383948876573697E-2</v>
      </c>
      <c r="M16" s="2"/>
      <c r="N16" s="16"/>
      <c r="Z16" s="1"/>
    </row>
    <row r="17" spans="2:26" x14ac:dyDescent="0.15">
      <c r="B17" s="18" t="s">
        <v>45</v>
      </c>
      <c r="C17" s="18"/>
      <c r="D17" s="18"/>
      <c r="E17" s="18"/>
      <c r="F17" s="18"/>
      <c r="G17" s="19"/>
      <c r="H17" s="19"/>
      <c r="I17" s="20"/>
      <c r="J17" s="18"/>
      <c r="K17" s="20"/>
      <c r="L17" s="18"/>
      <c r="M17" s="20"/>
      <c r="N17" s="21"/>
      <c r="O17" s="1"/>
      <c r="Z17" s="1"/>
    </row>
    <row r="18" spans="2:26" x14ac:dyDescent="0.15">
      <c r="B18" s="35">
        <v>4</v>
      </c>
      <c r="C18" s="35">
        <v>100</v>
      </c>
      <c r="D18" s="35">
        <v>700</v>
      </c>
      <c r="E18" s="36">
        <f>M21</f>
        <v>1002.8964100444529</v>
      </c>
      <c r="F18" s="37">
        <f>F11</f>
        <v>5.12</v>
      </c>
      <c r="G18" s="38">
        <v>83.572500000000005</v>
      </c>
      <c r="H18" s="1" t="str">
        <f>Z18</f>
        <v>00°00'08"</v>
      </c>
      <c r="I18" s="36">
        <v>388.03100000000001</v>
      </c>
      <c r="J18" s="41">
        <v>5.01</v>
      </c>
      <c r="K18" s="2">
        <f>COS(U19)*(I18+I19)/2</f>
        <v>40.857853913552312</v>
      </c>
      <c r="L18" s="2">
        <f>F18+K18-J18</f>
        <v>40.967853913552311</v>
      </c>
      <c r="M18" s="2">
        <f>E18+L18</f>
        <v>1043.8642639580053</v>
      </c>
      <c r="N18" s="16">
        <f>SIN(U18)*(I18+I19)/2</f>
        <v>1.5049857781133387E-2</v>
      </c>
      <c r="P18" s="31">
        <f>ABS(TRUNC(G18))</f>
        <v>83</v>
      </c>
      <c r="Q18" s="1" t="str">
        <f>MID(G18,FIND(".",G18,1)+1,2)</f>
        <v>57</v>
      </c>
      <c r="R18" s="1" t="str">
        <f>RIGHT(TEXT(G18,"0.0000"),2)</f>
        <v>25</v>
      </c>
      <c r="S18">
        <f>(1-2*(G18&lt;0))*(P18+Q18/60+R18/3600)</f>
        <v>83.956944444444446</v>
      </c>
      <c r="T18">
        <f>S18+S19-360</f>
        <v>2.2222222222580967E-3</v>
      </c>
      <c r="U18" s="15">
        <f>T18*PI()/180</f>
        <v>3.8785094489389005E-5</v>
      </c>
      <c r="W18">
        <f>TRUNC(T18)</f>
        <v>0</v>
      </c>
      <c r="X18" s="1">
        <f>TRUNC(60*(ABS(T18)-TRUNC(ABS(T18))))</f>
        <v>0</v>
      </c>
      <c r="Y18" s="1">
        <f>MOD(ROUND(3600*(ABS(T18)-TRUNC(ABS(T18))),0),60)</f>
        <v>8</v>
      </c>
      <c r="Z18" s="1" t="str">
        <f>TEXT(W18,"00")&amp;$Z$10&amp;TEXT(X18,"00")&amp;"'"&amp;TEXT(Y18,"00")&amp;CHAR(34)</f>
        <v>00°00'08"</v>
      </c>
    </row>
    <row r="19" spans="2:26" x14ac:dyDescent="0.15">
      <c r="B19" s="3"/>
      <c r="G19" s="38">
        <v>276.02429999999998</v>
      </c>
      <c r="H19" s="1" t="str">
        <f>Z19</f>
        <v>83°57'21"</v>
      </c>
      <c r="I19" s="36">
        <v>388.03300000000002</v>
      </c>
      <c r="K19" s="2"/>
      <c r="M19" s="2"/>
      <c r="N19" s="16"/>
      <c r="P19" s="31">
        <f>ABS(TRUNC(G19))</f>
        <v>276</v>
      </c>
      <c r="Q19" s="1" t="str">
        <f>MID(G19,FIND(".",G19,1)+1,2)</f>
        <v>02</v>
      </c>
      <c r="R19" s="1" t="str">
        <f>RIGHT(TEXT(G19,"0.0000"),2)</f>
        <v>43</v>
      </c>
      <c r="S19">
        <f>(1-2*(G19&lt;0))*(P19+Q19/60+R19/3600)</f>
        <v>276.04527777777781</v>
      </c>
      <c r="T19">
        <f>(IF(S18&gt;180,360-S18,S18)+IF(S19&gt;180,360-S19,S19))/2</f>
        <v>83.955833333333317</v>
      </c>
      <c r="U19" s="15">
        <f>T19*PI()/180</f>
        <v>1.4653057179222724</v>
      </c>
      <c r="W19">
        <f>TRUNC(T19)</f>
        <v>83</v>
      </c>
      <c r="X19" s="1">
        <f>TRUNC(60*(ABS(T19)-TRUNC(ABS(T19))))</f>
        <v>57</v>
      </c>
      <c r="Y19" s="1">
        <f>MOD(ROUND(3600*(ABS(T19)-TRUNC(ABS(T19))),0),60)</f>
        <v>21</v>
      </c>
      <c r="Z19" s="1" t="str">
        <f>TEXT(W19,"00")&amp;$Z$10&amp;TEXT(X19,"00")&amp;"'"&amp;TEXT(Y19,"00")&amp;CHAR(34)</f>
        <v>83°57'21"</v>
      </c>
    </row>
    <row r="20" spans="2:26" x14ac:dyDescent="0.15">
      <c r="B20" s="3"/>
      <c r="G20" s="13"/>
      <c r="H20" s="13"/>
      <c r="I20" s="2"/>
      <c r="K20" s="2"/>
      <c r="M20" s="2"/>
      <c r="N20" s="16"/>
      <c r="Z20" s="1"/>
    </row>
    <row r="21" spans="2:26" x14ac:dyDescent="0.15">
      <c r="B21" s="35">
        <v>3</v>
      </c>
      <c r="C21" s="35">
        <v>700</v>
      </c>
      <c r="D21" s="35">
        <v>100</v>
      </c>
      <c r="E21" s="36">
        <f>M28</f>
        <v>1043.8549921709566</v>
      </c>
      <c r="F21" s="37">
        <v>4.99</v>
      </c>
      <c r="G21" s="38">
        <v>96.023099999999999</v>
      </c>
      <c r="H21" s="1" t="str">
        <f>Z21</f>
        <v>00°00'14"</v>
      </c>
      <c r="I21" s="36">
        <v>388.02199999999999</v>
      </c>
      <c r="J21" s="37">
        <v>5.12</v>
      </c>
      <c r="K21" s="2">
        <f>COS(U22)*(I21+I22)/2</f>
        <v>-40.828582126503768</v>
      </c>
      <c r="L21" s="2">
        <f>F21+K21-J21</f>
        <v>-40.958582126503764</v>
      </c>
      <c r="M21" s="2">
        <f>E21+L21</f>
        <v>1002.8964100444529</v>
      </c>
      <c r="N21" s="16">
        <f>SIN(U21)*(I21+I22)/2</f>
        <v>2.6336470552761067E-2</v>
      </c>
      <c r="P21" s="31">
        <f>ABS(TRUNC(G21))</f>
        <v>96</v>
      </c>
      <c r="Q21" s="1" t="str">
        <f>MID(G21,FIND(".",G21,1)+1,2)</f>
        <v>02</v>
      </c>
      <c r="R21" s="1" t="str">
        <f>RIGHT(TEXT(G21,"0.0000"),2)</f>
        <v>31</v>
      </c>
      <c r="S21">
        <f>(1-2*(G21&lt;0))*(P21+Q21/60+R21/3600)</f>
        <v>96.041944444444439</v>
      </c>
      <c r="T21">
        <f>S21+S22-360</f>
        <v>3.8888888888664042E-3</v>
      </c>
      <c r="U21" s="15">
        <f>T21*PI()/180</f>
        <v>6.7873915354942606E-5</v>
      </c>
      <c r="W21">
        <f>TRUNC(T21)</f>
        <v>0</v>
      </c>
      <c r="X21" s="1">
        <f>TRUNC(60*(ABS(T21)-TRUNC(ABS(T21))))</f>
        <v>0</v>
      </c>
      <c r="Y21" s="1">
        <f>MOD(ROUND(3600*(ABS(T21)-TRUNC(ABS(T21))),0),60)</f>
        <v>14</v>
      </c>
      <c r="Z21" s="1" t="str">
        <f>TEXT(W21,"00")&amp;$Z$10&amp;TEXT(X21,"00")&amp;"'"&amp;TEXT(Y21,"00")&amp;CHAR(34)</f>
        <v>00°00'14"</v>
      </c>
    </row>
    <row r="22" spans="2:26" x14ac:dyDescent="0.15">
      <c r="B22" s="3"/>
      <c r="G22" s="38">
        <v>263.57429999999999</v>
      </c>
      <c r="H22" s="1" t="str">
        <f>Z22</f>
        <v>96°02'24"</v>
      </c>
      <c r="I22" s="36">
        <v>388.01900000000001</v>
      </c>
      <c r="K22" s="2"/>
      <c r="M22" s="2"/>
      <c r="N22" s="16"/>
      <c r="P22" s="31">
        <f>ABS(TRUNC(G22))</f>
        <v>263</v>
      </c>
      <c r="Q22" s="1" t="str">
        <f>MID(G22,FIND(".",G22,1)+1,2)</f>
        <v>57</v>
      </c>
      <c r="R22" s="1" t="str">
        <f>RIGHT(TEXT(G22,"0.0000"),2)</f>
        <v>43</v>
      </c>
      <c r="S22">
        <f>(1-2*(G22&lt;0))*(P22+Q22/60+R22/3600)</f>
        <v>263.96194444444444</v>
      </c>
      <c r="T22">
        <f>(IF(S21&gt;180,360-S21,S21)+IF(S22&gt;180,360-S22,S22))/2</f>
        <v>96.039999999999992</v>
      </c>
      <c r="U22" s="15">
        <f>T22*PI()/180</f>
        <v>1.6762142136153537</v>
      </c>
      <c r="W22">
        <f>TRUNC(T22)</f>
        <v>96</v>
      </c>
      <c r="X22" s="1">
        <f>TRUNC(60*(ABS(T22)-TRUNC(ABS(T22))))</f>
        <v>2</v>
      </c>
      <c r="Y22" s="1">
        <f>MOD(ROUND(3600*(ABS(T22)-TRUNC(ABS(T22))),0),60)</f>
        <v>24</v>
      </c>
      <c r="Z22" s="1" t="str">
        <f>TEXT(W22,"00")&amp;$Z$10&amp;TEXT(X22,"00")&amp;"'"&amp;TEXT(Y22,"00")&amp;CHAR(34)</f>
        <v>96°02'24"</v>
      </c>
    </row>
    <row r="23" spans="2:26" x14ac:dyDescent="0.15">
      <c r="B23" s="3"/>
      <c r="G23" s="13"/>
      <c r="H23" s="1"/>
      <c r="I23" s="2"/>
      <c r="K23" s="2"/>
      <c r="L23" s="40">
        <f>ABS(L21)-ABS(L18)</f>
        <v>-9.2717870485472531E-3</v>
      </c>
      <c r="M23" s="2"/>
      <c r="N23" s="16"/>
      <c r="Z23" s="1"/>
    </row>
    <row r="24" spans="2:26" x14ac:dyDescent="0.15">
      <c r="B24" s="18" t="s">
        <v>45</v>
      </c>
      <c r="C24" s="18"/>
      <c r="D24" s="18"/>
      <c r="E24" s="18"/>
      <c r="F24" s="18"/>
      <c r="G24" s="19"/>
      <c r="H24" s="19"/>
      <c r="I24" s="20"/>
      <c r="J24" s="18"/>
      <c r="K24" s="20"/>
      <c r="L24" s="18"/>
      <c r="M24" s="20"/>
      <c r="N24" s="21"/>
      <c r="P24" s="2"/>
      <c r="Z24" s="1"/>
    </row>
    <row r="25" spans="2:26" x14ac:dyDescent="0.15">
      <c r="B25" s="35">
        <v>5</v>
      </c>
      <c r="C25" s="35">
        <v>700</v>
      </c>
      <c r="D25" s="35">
        <v>500</v>
      </c>
      <c r="E25" s="36">
        <f>M18</f>
        <v>1043.8642639580053</v>
      </c>
      <c r="F25" s="37">
        <f>F21</f>
        <v>4.99</v>
      </c>
      <c r="G25" s="38">
        <v>92.102000000000004</v>
      </c>
      <c r="H25" s="1" t="str">
        <f>Z25</f>
        <v>00°00'10"</v>
      </c>
      <c r="I25" s="36">
        <v>208.1</v>
      </c>
      <c r="J25" s="37">
        <v>5.23</v>
      </c>
      <c r="K25" s="2">
        <f>COS(U26)*(I25+I26)/2</f>
        <v>-7.8926517773324774</v>
      </c>
      <c r="L25" s="2">
        <f>F25+K25-J25</f>
        <v>-8.1326517773324767</v>
      </c>
      <c r="M25" s="2">
        <f>E25+L25</f>
        <v>1035.7316121806728</v>
      </c>
      <c r="N25" s="16">
        <f>SIN(U25)*(I25+I26)/2</f>
        <v>-1.0088875737260644E-2</v>
      </c>
      <c r="P25" s="31">
        <f>ABS(TRUNC(G25))</f>
        <v>92</v>
      </c>
      <c r="Q25" s="1" t="str">
        <f>MID(G25,FIND(".",G25,1)+1,2)</f>
        <v>10</v>
      </c>
      <c r="R25" s="1" t="str">
        <f>RIGHT(TEXT(G25,"0.0000"),2)</f>
        <v>20</v>
      </c>
      <c r="S25">
        <f>(1-2*(G25&lt;0))*(P25+Q25/60+R25/3600)</f>
        <v>92.172222222222231</v>
      </c>
      <c r="T25">
        <f>S25+S26-360</f>
        <v>-2.7777777777941992E-3</v>
      </c>
      <c r="U25" s="15">
        <f>T25*PI()/180</f>
        <v>-4.8481368111240206E-5</v>
      </c>
      <c r="W25">
        <f>TRUNC(T25)</f>
        <v>0</v>
      </c>
      <c r="X25" s="1">
        <f>TRUNC(60*(ABS(T25)-TRUNC(ABS(T25))))</f>
        <v>0</v>
      </c>
      <c r="Y25" s="1">
        <f>MOD(ROUND(3600*(ABS(T25)-TRUNC(ABS(T25))),0),60)</f>
        <v>10</v>
      </c>
      <c r="Z25" s="1" t="str">
        <f>TEXT(W25,"00")&amp;$Z$10&amp;TEXT(X25,"00")&amp;"'"&amp;TEXT(Y25,"00")&amp;CHAR(34)</f>
        <v>00°00'10"</v>
      </c>
    </row>
    <row r="26" spans="2:26" x14ac:dyDescent="0.15">
      <c r="B26" s="3"/>
      <c r="G26" s="38">
        <v>267.49299999999999</v>
      </c>
      <c r="H26" s="1" t="str">
        <f>Z26</f>
        <v>92°10'25"</v>
      </c>
      <c r="I26" s="36">
        <v>208.096</v>
      </c>
      <c r="K26" s="2"/>
      <c r="M26" s="2"/>
      <c r="N26" s="16"/>
      <c r="P26" s="31">
        <f>ABS(TRUNC(G26))</f>
        <v>267</v>
      </c>
      <c r="Q26" s="1" t="str">
        <f>MID(G26,FIND(".",G26,1)+1,2)</f>
        <v>49</v>
      </c>
      <c r="R26" s="1" t="str">
        <f>RIGHT(TEXT(G26,"0.0000"),2)</f>
        <v>30</v>
      </c>
      <c r="S26">
        <f>(1-2*(G26&lt;0))*(P26+Q26/60+R26/3600)</f>
        <v>267.82499999999999</v>
      </c>
      <c r="T26">
        <f>(IF(S25&gt;180,360-S25,S25)+IF(S26&gt;180,360-S26,S26))/2</f>
        <v>92.173611111111114</v>
      </c>
      <c r="U26" s="15">
        <f>T26*PI()/180</f>
        <v>1.6087329973417177</v>
      </c>
      <c r="W26">
        <f>TRUNC(T26)</f>
        <v>92</v>
      </c>
      <c r="X26" s="1">
        <f>TRUNC(60*(ABS(T26)-TRUNC(ABS(T26))))</f>
        <v>10</v>
      </c>
      <c r="Y26" s="1">
        <f>MOD(ROUND(3600*(ABS(T26)-TRUNC(ABS(T26))),0),60)</f>
        <v>25</v>
      </c>
      <c r="Z26" s="1" t="str">
        <f>TEXT(W26,"00")&amp;$Z$10&amp;TEXT(X26,"00")&amp;"'"&amp;TEXT(Y26,"00")&amp;CHAR(34)</f>
        <v>92°10'25"</v>
      </c>
    </row>
    <row r="27" spans="2:26" x14ac:dyDescent="0.15">
      <c r="B27" s="3"/>
      <c r="G27" s="13"/>
      <c r="H27" s="13"/>
      <c r="I27" s="2"/>
      <c r="K27" s="2"/>
      <c r="M27" s="2"/>
      <c r="N27" s="16"/>
      <c r="O27" s="3"/>
      <c r="Z27" s="1"/>
    </row>
    <row r="28" spans="2:26" x14ac:dyDescent="0.15">
      <c r="B28" s="35">
        <v>2</v>
      </c>
      <c r="C28" s="35">
        <v>500</v>
      </c>
      <c r="D28" s="35">
        <v>700</v>
      </c>
      <c r="E28" s="36">
        <f>M11</f>
        <v>1035.7571727358782</v>
      </c>
      <c r="F28" s="37">
        <f>F14</f>
        <v>5.2</v>
      </c>
      <c r="G28" s="38">
        <v>87.494799999999998</v>
      </c>
      <c r="H28" s="1" t="str">
        <f>Z28</f>
        <v>00°00'16"</v>
      </c>
      <c r="I28" s="36">
        <v>208.10400000000001</v>
      </c>
      <c r="J28" s="37">
        <v>4.99</v>
      </c>
      <c r="K28" s="2">
        <f>COS(U29)*(I28+I29)/2</f>
        <v>7.8878194350784634</v>
      </c>
      <c r="L28" s="2">
        <f>F28+K28-J28</f>
        <v>8.0978194350784634</v>
      </c>
      <c r="M28" s="2">
        <f>E28+L28</f>
        <v>1043.8549921709566</v>
      </c>
      <c r="N28" s="16">
        <f>SIN(U28)*(I28+I29)/2</f>
        <v>1.6142627805749942E-2</v>
      </c>
      <c r="P28" s="31">
        <f>ABS(TRUNC(G28))</f>
        <v>87</v>
      </c>
      <c r="Q28" s="1" t="str">
        <f>MID(G28,FIND(".",G28,1)+1,2)</f>
        <v>49</v>
      </c>
      <c r="R28" s="1" t="str">
        <f>RIGHT(TEXT(G28,"0.0000"),2)</f>
        <v>48</v>
      </c>
      <c r="S28">
        <f>(1-2*(G28&lt;0))*(P28+Q28/60+R28/3600)</f>
        <v>87.83</v>
      </c>
      <c r="T28">
        <f>S28+S29-360</f>
        <v>4.4444444444593501E-3</v>
      </c>
      <c r="U28" s="15">
        <f>T28*PI()/180</f>
        <v>7.7570188977785912E-5</v>
      </c>
      <c r="W28">
        <f>TRUNC(T28)</f>
        <v>0</v>
      </c>
      <c r="X28" s="1">
        <f>TRUNC(60*(ABS(T28)-TRUNC(ABS(T28))))</f>
        <v>0</v>
      </c>
      <c r="Y28" s="1">
        <f>MOD(ROUND(3600*(ABS(T28)-TRUNC(ABS(T28))),0),60)</f>
        <v>16</v>
      </c>
      <c r="Z28" s="1" t="str">
        <f>TEXT(W28,"00")&amp;$Z$10&amp;TEXT(X28,"00")&amp;"'"&amp;TEXT(Y28,"00")&amp;CHAR(34)</f>
        <v>00°00'16"</v>
      </c>
    </row>
    <row r="29" spans="2:26" x14ac:dyDescent="0.15">
      <c r="G29" s="38">
        <v>272.1028</v>
      </c>
      <c r="H29" s="1" t="str">
        <f>Z29</f>
        <v>87°49'40"</v>
      </c>
      <c r="I29" s="36">
        <v>208.10300000000001</v>
      </c>
      <c r="K29" s="2"/>
      <c r="M29" s="2"/>
      <c r="N29" s="16"/>
      <c r="P29" s="31">
        <f>ABS(TRUNC(G29))</f>
        <v>272</v>
      </c>
      <c r="Q29" s="1" t="str">
        <f>MID(G29,FIND(".",G29,1)+1,2)</f>
        <v>10</v>
      </c>
      <c r="R29" s="1" t="str">
        <f>RIGHT(TEXT(G29,"0.0000"),2)</f>
        <v>28</v>
      </c>
      <c r="S29">
        <f>(1-2*(G29&lt;0))*(P29+Q29/60+R29/3600)</f>
        <v>272.17444444444448</v>
      </c>
      <c r="T29">
        <f>(IF(S28&gt;180,360-S28,S28)+IF(S29&gt;180,360-S29,S29))/2</f>
        <v>87.827777777777754</v>
      </c>
      <c r="U29" s="15">
        <f>T29*PI()/180</f>
        <v>1.5328838969321303</v>
      </c>
      <c r="W29">
        <f>TRUNC(T29)</f>
        <v>87</v>
      </c>
      <c r="X29" s="1">
        <f>TRUNC(60*(ABS(T29)-TRUNC(ABS(T29))))</f>
        <v>49</v>
      </c>
      <c r="Y29" s="1">
        <f>MOD(ROUND(3600*(ABS(T29)-TRUNC(ABS(T29))),0),60)</f>
        <v>40</v>
      </c>
      <c r="Z29" s="1" t="str">
        <f>TEXT(W29,"00")&amp;$Z$10&amp;TEXT(X29,"00")&amp;"'"&amp;TEXT(Y29,"00")&amp;CHAR(34)</f>
        <v>87°49'40"</v>
      </c>
    </row>
    <row r="30" spans="2:26" x14ac:dyDescent="0.15">
      <c r="C30" s="3"/>
      <c r="D30" s="3"/>
      <c r="E30" s="3"/>
      <c r="F30" s="3"/>
      <c r="G30" s="22"/>
      <c r="H30" s="22"/>
      <c r="I30" s="23"/>
      <c r="J30" s="3"/>
      <c r="K30" s="2"/>
      <c r="L30" s="33">
        <f>ABS(L28)-ABS(L25)</f>
        <v>-3.4832342254013327E-2</v>
      </c>
      <c r="M30" s="23"/>
      <c r="N30" s="24"/>
    </row>
    <row r="31" spans="2:26" x14ac:dyDescent="0.15">
      <c r="C31" t="s">
        <v>17</v>
      </c>
      <c r="D31" t="s">
        <v>25</v>
      </c>
      <c r="F31" t="s">
        <v>46</v>
      </c>
      <c r="M31" s="2"/>
      <c r="N31" s="16"/>
    </row>
    <row r="32" spans="2:26" x14ac:dyDescent="0.15">
      <c r="C32" s="3">
        <f>C11</f>
        <v>100</v>
      </c>
      <c r="D32" s="3">
        <f>B11</f>
        <v>1</v>
      </c>
      <c r="E32" s="1" t="s">
        <v>47</v>
      </c>
      <c r="F32" s="2">
        <f>E11</f>
        <v>1002.88</v>
      </c>
      <c r="K32" s="2"/>
      <c r="L32" s="2"/>
      <c r="M32" s="2"/>
      <c r="N32" s="16"/>
    </row>
    <row r="33" spans="3:14" x14ac:dyDescent="0.15">
      <c r="D33" s="3">
        <f>B14</f>
        <v>6</v>
      </c>
      <c r="E33" s="1" t="s">
        <v>48</v>
      </c>
      <c r="F33" s="2">
        <f>M14</f>
        <v>1002.8858233936712</v>
      </c>
      <c r="K33" s="2"/>
      <c r="M33" s="2"/>
      <c r="N33" s="16"/>
    </row>
    <row r="34" spans="3:14" x14ac:dyDescent="0.15">
      <c r="E34" s="1" t="s">
        <v>49</v>
      </c>
      <c r="F34" s="2">
        <f>F33-F32</f>
        <v>5.8233936712213108E-3</v>
      </c>
      <c r="K34" s="2"/>
      <c r="M34" s="2"/>
      <c r="N34" s="16"/>
    </row>
    <row r="35" spans="3:14" x14ac:dyDescent="0.15">
      <c r="K35" s="2"/>
      <c r="M35" s="2"/>
      <c r="N35" s="16"/>
    </row>
    <row r="36" spans="3:14" x14ac:dyDescent="0.15">
      <c r="C36" s="39" t="s">
        <v>50</v>
      </c>
      <c r="K36" s="2"/>
      <c r="M36" s="2"/>
      <c r="N36" s="16"/>
    </row>
    <row r="37" spans="3:14" x14ac:dyDescent="0.15">
      <c r="K37" s="2"/>
      <c r="M37" s="2"/>
      <c r="N37" s="16"/>
    </row>
    <row r="38" spans="3:14" x14ac:dyDescent="0.15">
      <c r="C38" s="32" t="s">
        <v>51</v>
      </c>
      <c r="G38" s="13"/>
      <c r="H38" s="13"/>
      <c r="I38" s="2"/>
      <c r="M38" s="2"/>
      <c r="N38" s="16"/>
    </row>
    <row r="39" spans="3:14" x14ac:dyDescent="0.15">
      <c r="G39" s="13"/>
      <c r="H39" s="13"/>
      <c r="I39" s="2"/>
      <c r="K39" s="2"/>
      <c r="M39" s="2"/>
      <c r="N39" s="16"/>
    </row>
    <row r="40" spans="3:14" x14ac:dyDescent="0.15">
      <c r="G40" s="13"/>
      <c r="H40" s="13"/>
      <c r="I40" s="2"/>
      <c r="K40" s="2"/>
      <c r="M40" s="2"/>
      <c r="N40" s="16"/>
    </row>
    <row r="41" spans="3:14" x14ac:dyDescent="0.15">
      <c r="D41" s="34"/>
      <c r="G41" s="13"/>
      <c r="H41" s="13"/>
      <c r="I41" s="2"/>
      <c r="K41" s="2"/>
      <c r="M41" s="2"/>
      <c r="N41" s="16"/>
    </row>
    <row r="42" spans="3:14" x14ac:dyDescent="0.15">
      <c r="D42" s="34"/>
      <c r="G42" s="13"/>
      <c r="H42" s="13"/>
      <c r="I42" s="2"/>
      <c r="K42" s="2"/>
      <c r="M42" s="2"/>
      <c r="N42" s="16"/>
    </row>
    <row r="43" spans="3:14" x14ac:dyDescent="0.15">
      <c r="D43" s="34"/>
      <c r="G43" s="13"/>
      <c r="H43" s="13"/>
      <c r="I43" s="2"/>
      <c r="K43" s="2"/>
      <c r="M43" s="2"/>
      <c r="N43" s="16"/>
    </row>
    <row r="44" spans="3:14" x14ac:dyDescent="0.15">
      <c r="D44" s="34"/>
      <c r="G44" s="13"/>
      <c r="H44" s="13"/>
      <c r="I44" s="2"/>
      <c r="M44" s="2"/>
    </row>
    <row r="45" spans="3:14" x14ac:dyDescent="0.15">
      <c r="D45" s="34"/>
      <c r="G45" s="13"/>
      <c r="H45" s="13"/>
      <c r="I45" s="2"/>
      <c r="K45" s="2"/>
    </row>
    <row r="46" spans="3:14" x14ac:dyDescent="0.15">
      <c r="D46" s="34"/>
      <c r="G46" s="13"/>
      <c r="H46" s="13"/>
      <c r="I46" s="2"/>
      <c r="K46" s="2"/>
    </row>
    <row r="47" spans="3:14" x14ac:dyDescent="0.15">
      <c r="D47" s="34"/>
      <c r="G47" s="13"/>
      <c r="H47" s="13"/>
      <c r="I47" s="2"/>
    </row>
    <row r="48" spans="3:14" x14ac:dyDescent="0.15">
      <c r="D48" s="34"/>
      <c r="G48" s="13"/>
      <c r="H48" s="13"/>
    </row>
    <row r="49" spans="4:8" x14ac:dyDescent="0.15">
      <c r="G49" s="13"/>
      <c r="H49" s="13"/>
    </row>
    <row r="50" spans="4:8" x14ac:dyDescent="0.15">
      <c r="D50" s="34"/>
      <c r="G50" s="13"/>
      <c r="H50" s="13"/>
    </row>
    <row r="51" spans="4:8" x14ac:dyDescent="0.15">
      <c r="D51" s="34"/>
    </row>
    <row r="52" spans="4:8" x14ac:dyDescent="0.15">
      <c r="D52" s="34"/>
    </row>
    <row r="54" spans="4:8" x14ac:dyDescent="0.15">
      <c r="D54" s="34"/>
    </row>
    <row r="55" spans="4:8" x14ac:dyDescent="0.15">
      <c r="D55" s="34"/>
    </row>
    <row r="57" spans="4:8" x14ac:dyDescent="0.15">
      <c r="D57" s="34"/>
    </row>
    <row r="58" spans="4:8" x14ac:dyDescent="0.15">
      <c r="D58" s="34"/>
    </row>
    <row r="59" spans="4:8" x14ac:dyDescent="0.15">
      <c r="D59" s="34"/>
    </row>
  </sheetData>
  <phoneticPr fontId="4" type="noConversion"/>
  <printOptions horizontalCentered="1" gridLines="1" gridLinesSet="0"/>
  <pageMargins left="0.75" right="0.5" top="0.65" bottom="0.65" header="0.3" footer="0.3"/>
  <pageSetup orientation="landscape" horizontalDpi="4294967292" verticalDpi="429496729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Elev Calculations Analysis-3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2015-08-30T22:56:17Z</cp:lastPrinted>
  <dcterms:created xsi:type="dcterms:W3CDTF">2015-08-30T23:50:11Z</dcterms:created>
  <dcterms:modified xsi:type="dcterms:W3CDTF">2015-08-30T23:50:11Z</dcterms:modified>
</cp:coreProperties>
</file>